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0" windowWidth="6960" windowHeight="11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F48" i="1" l="1"/>
  <c r="C32" i="1" l="1"/>
  <c r="D12" i="1"/>
  <c r="E12" i="1" s="1"/>
  <c r="F12" i="1" s="1"/>
  <c r="G12" i="1" s="1"/>
  <c r="D10" i="1"/>
  <c r="E10" i="1" s="1"/>
  <c r="F10" i="1" s="1"/>
  <c r="G10" i="1" s="1"/>
  <c r="D8" i="1"/>
  <c r="B6" i="1"/>
  <c r="D5" i="1"/>
  <c r="C5" i="1"/>
  <c r="B30" i="1"/>
  <c r="B31" i="1" s="1"/>
  <c r="B32" i="1" s="1"/>
  <c r="B20" i="1"/>
  <c r="B21" i="1" s="1"/>
  <c r="B22" i="1" s="1"/>
  <c r="B23" i="1" s="1"/>
  <c r="C18" i="1"/>
  <c r="C20" i="1" s="1"/>
  <c r="C21" i="1" s="1"/>
  <c r="C22" i="1" s="1"/>
  <c r="C23" i="1" s="1"/>
  <c r="D6" i="1" l="1"/>
  <c r="D22" i="1"/>
  <c r="D42" i="1" s="1"/>
  <c r="C6" i="1"/>
  <c r="E5" i="1"/>
  <c r="D32" i="1"/>
  <c r="E8" i="1"/>
  <c r="F8" i="1" s="1"/>
  <c r="G8" i="1" s="1"/>
  <c r="E6" i="1" l="1"/>
  <c r="E14" i="1" s="1"/>
  <c r="D44" i="1"/>
  <c r="F6" i="1" l="1"/>
  <c r="A44" i="1" s="1"/>
  <c r="F44" i="1" s="1"/>
  <c r="G6" i="1" l="1"/>
  <c r="F45" i="1"/>
  <c r="F50" i="1" s="1"/>
</calcChain>
</file>

<file path=xl/comments1.xml><?xml version="1.0" encoding="utf-8"?>
<comments xmlns="http://schemas.openxmlformats.org/spreadsheetml/2006/main">
  <authors>
    <author>Colin Townend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Colin Townend:</t>
        </r>
        <r>
          <rPr>
            <sz val="9"/>
            <color indexed="81"/>
            <rFont val="Tahoma"/>
            <family val="2"/>
          </rPr>
          <t xml:space="preserve">
lease co fee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Colin Townend:</t>
        </r>
        <r>
          <rPr>
            <sz val="9"/>
            <color indexed="81"/>
            <rFont val="Tahoma"/>
            <family val="2"/>
          </rPr>
          <t xml:space="preserve">
lease co fee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Colin Townend:</t>
        </r>
        <r>
          <rPr>
            <sz val="9"/>
            <color indexed="81"/>
            <rFont val="Tahoma"/>
            <family val="2"/>
          </rPr>
          <t xml:space="preserve">
339.75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Colin Townend:</t>
        </r>
        <r>
          <rPr>
            <sz val="9"/>
            <color indexed="81"/>
            <rFont val="Tahoma"/>
            <family val="2"/>
          </rPr>
          <t xml:space="preserve">
339.75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Colin Townend:</t>
        </r>
        <r>
          <rPr>
            <sz val="9"/>
            <color indexed="81"/>
            <rFont val="Tahoma"/>
            <family val="2"/>
          </rPr>
          <t xml:space="preserve">
339.75</t>
        </r>
      </text>
    </comment>
    <comment ref="A22" authorId="0">
      <text>
        <r>
          <rPr>
            <b/>
            <sz val="9"/>
            <color indexed="81"/>
            <rFont val="Tahoma"/>
            <charset val="1"/>
          </rPr>
          <t>Colin Townend:</t>
        </r>
        <r>
          <rPr>
            <sz val="9"/>
            <color indexed="81"/>
            <rFont val="Tahoma"/>
            <charset val="1"/>
          </rPr>
          <t xml:space="preserve">
Nominal fuel price</t>
        </r>
      </text>
    </comment>
  </commentList>
</comments>
</file>

<file path=xl/sharedStrings.xml><?xml version="1.0" encoding="utf-8"?>
<sst xmlns="http://schemas.openxmlformats.org/spreadsheetml/2006/main" count="51" uniqueCount="42">
  <si>
    <t>pa</t>
  </si>
  <si>
    <t>miles/yr</t>
  </si>
  <si>
    <t>gallons</t>
  </si>
  <si>
    <t>litres</t>
  </si>
  <si>
    <t>mpg</t>
  </si>
  <si>
    <t>14p/kwh</t>
  </si>
  <si>
    <t>monthly</t>
  </si>
  <si>
    <t>initial</t>
  </si>
  <si>
    <t>35months</t>
  </si>
  <si>
    <t>per year</t>
  </si>
  <si>
    <t>per month</t>
  </si>
  <si>
    <t xml:space="preserve">car </t>
  </si>
  <si>
    <t>lease VW service and maint</t>
  </si>
  <si>
    <t>Total Paid</t>
  </si>
  <si>
    <t>4p/mile</t>
  </si>
  <si>
    <t>pence per mile</t>
  </si>
  <si>
    <t>Ford Kuga</t>
  </si>
  <si>
    <t>Honda CRV</t>
  </si>
  <si>
    <t>VW e-Golf</t>
  </si>
  <si>
    <t>Runnning Costs After</t>
  </si>
  <si>
    <t>Honda road fund</t>
  </si>
  <si>
    <t>lease VW all inc tyres</t>
  </si>
  <si>
    <t>approx £72 per tyre</t>
  </si>
  <si>
    <t>Overall Running Cost Saving</t>
  </si>
  <si>
    <t>=</t>
  </si>
  <si>
    <t>less running cost savings</t>
  </si>
  <si>
    <t>month</t>
  </si>
  <si>
    <t>Extra Cost</t>
  </si>
  <si>
    <t>over 36 months</t>
  </si>
  <si>
    <t>Running Costs Before</t>
  </si>
  <si>
    <t>lease via Yes-Lease</t>
  </si>
  <si>
    <t>Yes-Lease saving overall</t>
  </si>
  <si>
    <t xml:space="preserve">lease via VW </t>
  </si>
  <si>
    <t>Less Honda depreciation over 3 years</t>
  </si>
  <si>
    <t>Broker fee</t>
  </si>
  <si>
    <t>Honda insurance additional cost</t>
  </si>
  <si>
    <t>Honda MOT</t>
  </si>
  <si>
    <t>£2500 to £800</t>
  </si>
  <si>
    <t>VW repairs (3 yr warranty)</t>
  </si>
  <si>
    <t>VW first service 20,000 miles</t>
  </si>
  <si>
    <t>VW Road Fund</t>
  </si>
  <si>
    <t>Honda servicing (estimate)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</si>
</sst>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[$£-809]* #,##0.00_-;\-[$£-809]* #,##0.00_-;_-[$£-809]* &quot;-&quot;??_-;_-@_-"/>
    <numFmt numFmtId="166" formatCode="_-[$£-809]* #,##0_-;\-[$£-809]* #,##0_-;_-[$£-809]* &quot;-&quot;??_-;_-@_-"/>
    <numFmt numFmtId="167" formatCode="&quot;£&quot;#,##0.00"/>
    <numFmt numFmtId="168" formatCode="&quot;£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44" fontId="0" fillId="0" borderId="0" xfId="2" applyFont="1"/>
    <xf numFmtId="5" fontId="0" fillId="0" borderId="0" xfId="2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0" fontId="0" fillId="2" borderId="0" xfId="0" applyFill="1"/>
    <xf numFmtId="166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166" fontId="0" fillId="0" borderId="0" xfId="0" applyNumberFormat="1" applyFill="1"/>
    <xf numFmtId="0" fontId="0" fillId="0" borderId="0" xfId="0" applyFill="1" applyAlignment="1">
      <alignment horizontal="right"/>
    </xf>
    <xf numFmtId="0" fontId="3" fillId="0" borderId="0" xfId="0" applyFont="1"/>
    <xf numFmtId="0" fontId="0" fillId="0" borderId="0" xfId="0" quotePrefix="1" applyAlignment="1">
      <alignment horizontal="center"/>
    </xf>
    <xf numFmtId="167" fontId="0" fillId="3" borderId="0" xfId="0" applyNumberFormat="1" applyFill="1"/>
    <xf numFmtId="168" fontId="0" fillId="0" borderId="1" xfId="0" applyNumberFormat="1" applyBorder="1"/>
    <xf numFmtId="168" fontId="0" fillId="0" borderId="0" xfId="0" applyNumberFormat="1"/>
    <xf numFmtId="168" fontId="3" fillId="4" borderId="1" xfId="0" applyNumberFormat="1" applyFont="1" applyFill="1" applyBorder="1"/>
    <xf numFmtId="168" fontId="0" fillId="4" borderId="0" xfId="0" applyNumberFormat="1" applyFill="1"/>
    <xf numFmtId="168" fontId="2" fillId="0" borderId="0" xfId="0" applyNumberFormat="1" applyFont="1"/>
    <xf numFmtId="0" fontId="3" fillId="5" borderId="0" xfId="0" applyFont="1" applyFill="1" applyAlignment="1">
      <alignment horizontal="right"/>
    </xf>
    <xf numFmtId="168" fontId="0" fillId="0" borderId="0" xfId="1" applyNumberFormat="1" applyFont="1"/>
    <xf numFmtId="168" fontId="0" fillId="0" borderId="0" xfId="1" applyNumberFormat="1" applyFont="1" applyFill="1"/>
    <xf numFmtId="168" fontId="0" fillId="0" borderId="1" xfId="1" applyNumberFormat="1" applyFont="1" applyBorder="1"/>
    <xf numFmtId="168" fontId="0" fillId="0" borderId="1" xfId="1" applyNumberFormat="1" applyFont="1" applyFill="1" applyBorder="1"/>
    <xf numFmtId="168" fontId="2" fillId="0" borderId="0" xfId="0" applyNumberFormat="1" applyFont="1" applyFill="1"/>
    <xf numFmtId="166" fontId="2" fillId="0" borderId="0" xfId="0" applyNumberFormat="1" applyFont="1"/>
    <xf numFmtId="166" fontId="3" fillId="0" borderId="1" xfId="0" applyNumberFormat="1" applyFont="1" applyBorder="1"/>
    <xf numFmtId="168" fontId="6" fillId="0" borderId="0" xfId="1" applyNumberFormat="1" applyFont="1" applyFill="1"/>
    <xf numFmtId="168" fontId="0" fillId="0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571501</xdr:colOff>
      <xdr:row>48</xdr:row>
      <xdr:rowOff>38100</xdr:rowOff>
    </xdr:from>
    <xdr:to>
      <xdr:col>7</xdr:col>
      <xdr:colOff>276225</xdr:colOff>
      <xdr:row>51</xdr:row>
      <xdr:rowOff>19050</xdr:rowOff>
    </xdr:to>
    <xdr:sp macro="" textlink="">
      <xdr:nvSpPr>
        <xdr:cNvPr id="2" name="Oval 1"/>
        <xdr:cNvSpPr/>
      </xdr:nvSpPr>
      <xdr:spPr>
        <a:xfrm>
          <a:off x="4457701" y="8839200"/>
          <a:ext cx="1724024" cy="561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561975</xdr:colOff>
      <xdr:row>9</xdr:row>
      <xdr:rowOff>0</xdr:rowOff>
    </xdr:from>
    <xdr:to>
      <xdr:col>7</xdr:col>
      <xdr:colOff>409575</xdr:colOff>
      <xdr:row>14</xdr:row>
      <xdr:rowOff>0</xdr:rowOff>
    </xdr:to>
    <xdr:sp macro="" textlink="">
      <xdr:nvSpPr>
        <xdr:cNvPr id="11" name="Oval 10"/>
        <xdr:cNvSpPr/>
      </xdr:nvSpPr>
      <xdr:spPr>
        <a:xfrm>
          <a:off x="3762375" y="1724025"/>
          <a:ext cx="2552700" cy="26670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628650</xdr:colOff>
      <xdr:row>4</xdr:row>
      <xdr:rowOff>190499</xdr:rowOff>
    </xdr:from>
    <xdr:to>
      <xdr:col>5</xdr:col>
      <xdr:colOff>95250</xdr:colOff>
      <xdr:row>6</xdr:row>
      <xdr:rowOff>76199</xdr:rowOff>
    </xdr:to>
    <xdr:sp macro="" textlink="">
      <xdr:nvSpPr>
        <xdr:cNvPr id="8" name="Oval 7"/>
        <xdr:cNvSpPr/>
      </xdr:nvSpPr>
      <xdr:spPr>
        <a:xfrm>
          <a:off x="3829050" y="952499"/>
          <a:ext cx="962025" cy="276225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609600</xdr:colOff>
      <xdr:row>6</xdr:row>
      <xdr:rowOff>180975</xdr:rowOff>
    </xdr:from>
    <xdr:to>
      <xdr:col>5</xdr:col>
      <xdr:colOff>76200</xdr:colOff>
      <xdr:row>8</xdr:row>
      <xdr:rowOff>57151</xdr:rowOff>
    </xdr:to>
    <xdr:sp macro="" textlink="">
      <xdr:nvSpPr>
        <xdr:cNvPr id="9" name="Oval 8"/>
        <xdr:cNvSpPr/>
      </xdr:nvSpPr>
      <xdr:spPr>
        <a:xfrm>
          <a:off x="3810000" y="1524000"/>
          <a:ext cx="962025" cy="257176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628651</xdr:colOff>
      <xdr:row>42</xdr:row>
      <xdr:rowOff>142875</xdr:rowOff>
    </xdr:from>
    <xdr:to>
      <xdr:col>6</xdr:col>
      <xdr:colOff>523876</xdr:colOff>
      <xdr:row>45</xdr:row>
      <xdr:rowOff>85725</xdr:rowOff>
    </xdr:to>
    <xdr:sp macro="" textlink="">
      <xdr:nvSpPr>
        <xdr:cNvPr id="12" name="Oval 11"/>
        <xdr:cNvSpPr/>
      </xdr:nvSpPr>
      <xdr:spPr>
        <a:xfrm>
          <a:off x="4514851" y="7800975"/>
          <a:ext cx="1295400" cy="514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628650</xdr:colOff>
      <xdr:row>48</xdr:row>
      <xdr:rowOff>95250</xdr:rowOff>
    </xdr:from>
    <xdr:to>
      <xdr:col>7</xdr:col>
      <xdr:colOff>228599</xdr:colOff>
      <xdr:row>50</xdr:row>
      <xdr:rowOff>133350</xdr:rowOff>
    </xdr:to>
    <xdr:sp macro="" textlink="">
      <xdr:nvSpPr>
        <xdr:cNvPr id="15" name="Oval 14"/>
        <xdr:cNvSpPr/>
      </xdr:nvSpPr>
      <xdr:spPr>
        <a:xfrm>
          <a:off x="4514850" y="8896350"/>
          <a:ext cx="1619249" cy="4286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371476</xdr:colOff>
      <xdr:row>14</xdr:row>
      <xdr:rowOff>104775</xdr:rowOff>
    </xdr:from>
    <xdr:to>
      <xdr:col>7</xdr:col>
      <xdr:colOff>657225</xdr:colOff>
      <xdr:row>41</xdr:row>
      <xdr:rowOff>85725</xdr:rowOff>
    </xdr:to>
    <xdr:sp macro="" textlink="">
      <xdr:nvSpPr>
        <xdr:cNvPr id="3" name="TextBox 2"/>
        <xdr:cNvSpPr txBox="1"/>
      </xdr:nvSpPr>
      <xdr:spPr>
        <a:xfrm>
          <a:off x="3952876" y="2019300"/>
          <a:ext cx="2305049" cy="51435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  <a:p>
          <a:r>
            <a:rPr lang="en-GB" sz="1100"/>
            <a:t>This is a sample calculation for a rural two-car family, with a newish Ford Kuga and a 13 year- old Honda CRV.</a:t>
          </a:r>
          <a:br>
            <a:rPr lang="en-GB" sz="1100"/>
          </a:br>
          <a:endParaRPr lang="en-GB" sz="1100"/>
        </a:p>
        <a:p>
          <a:r>
            <a:rPr lang="en-GB" sz="1100"/>
            <a:t>The Kuga</a:t>
          </a:r>
          <a:r>
            <a:rPr lang="en-GB" sz="1100" baseline="0"/>
            <a:t> does about 10,000 miles per year and the Honda 4,000.</a:t>
          </a:r>
        </a:p>
        <a:p>
          <a:endParaRPr lang="en-GB" sz="1100" baseline="0"/>
        </a:p>
        <a:p>
          <a:r>
            <a:rPr lang="en-GB" sz="1100" baseline="0"/>
            <a:t>By exchanging the Honda for an e-Golf and using it as much as possible, (breaking the His and Hers car allocation) it is hoped to reduce the Kuga mileage down to 4000 per year.</a:t>
          </a:r>
          <a:br>
            <a:rPr lang="en-GB" sz="1100" baseline="0"/>
          </a:br>
          <a:endParaRPr lang="en-GB" sz="1100" baseline="0"/>
        </a:p>
        <a:p>
          <a:r>
            <a:rPr lang="en-GB" sz="1100" baseline="0"/>
            <a:t>The running costs would be reduced by almost £2000 per year, partially offsetting the cost of leasing the newer car for 3 years.</a:t>
          </a:r>
        </a:p>
        <a:p>
          <a:endParaRPr lang="en-GB" sz="1100" baseline="0"/>
        </a:p>
        <a:p>
          <a:r>
            <a:rPr lang="en-GB" sz="1100" baseline="0"/>
            <a:t>Yes-Lease offered the car almost £2000 cheaper then Inchcape VW over 3 years , and intrigueingly sourced the car from ...........Inchcape VW, and VW Finance provided the lease!</a:t>
          </a:r>
        </a:p>
        <a:p>
          <a:endParaRPr lang="en-GB" sz="1100" baseline="0"/>
        </a:p>
        <a:p>
          <a:r>
            <a:rPr lang="en-GB" sz="1100" baseline="0"/>
            <a:t>Overall it will cost us about an extra £100 per month to have the new car.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tabSelected="1" workbookViewId="0">
      <selection activeCell="J37" sqref="J37"/>
    </sheetView>
  </sheetViews>
  <sheetFormatPr defaultRowHeight="15" x14ac:dyDescent="0.25"/>
  <cols>
    <col min="1" max="1" width="21" customWidth="1"/>
    <col min="2" max="2" width="10.85546875" bestFit="1" customWidth="1"/>
    <col min="3" max="3" width="11.5703125" bestFit="1" customWidth="1"/>
    <col min="4" max="4" width="10.28515625" customWidth="1"/>
    <col min="5" max="5" width="12.140625" customWidth="1"/>
    <col min="6" max="6" width="8.85546875" customWidth="1"/>
    <col min="7" max="7" width="9.28515625" customWidth="1"/>
    <col min="8" max="8" width="10.5703125" bestFit="1" customWidth="1"/>
  </cols>
  <sheetData>
    <row r="2" spans="1:7" x14ac:dyDescent="0.25">
      <c r="A2" s="8" t="s">
        <v>30</v>
      </c>
      <c r="B2" s="2"/>
    </row>
    <row r="3" spans="1:7" x14ac:dyDescent="0.25">
      <c r="B3" t="s">
        <v>6</v>
      </c>
      <c r="C3" t="s">
        <v>7</v>
      </c>
      <c r="D3" t="s">
        <v>8</v>
      </c>
      <c r="E3" t="s">
        <v>13</v>
      </c>
      <c r="F3" t="s">
        <v>9</v>
      </c>
      <c r="G3" t="s">
        <v>10</v>
      </c>
    </row>
    <row r="4" spans="1:7" x14ac:dyDescent="0.25">
      <c r="A4" t="s">
        <v>34</v>
      </c>
      <c r="B4" s="18"/>
      <c r="C4" s="18">
        <v>300</v>
      </c>
      <c r="D4" s="18"/>
      <c r="F4" s="18"/>
      <c r="G4" s="18"/>
    </row>
    <row r="5" spans="1:7" x14ac:dyDescent="0.25">
      <c r="A5" t="s">
        <v>11</v>
      </c>
      <c r="B5" s="18">
        <v>258.11</v>
      </c>
      <c r="C5" s="18">
        <f>B5*6</f>
        <v>1548.66</v>
      </c>
      <c r="D5" s="23">
        <f>B5*35</f>
        <v>9033.85</v>
      </c>
      <c r="E5" s="23">
        <f>SUM(C5:D5)</f>
        <v>10582.51</v>
      </c>
      <c r="F5" s="31"/>
      <c r="G5" s="18"/>
    </row>
    <row r="6" spans="1:7" ht="15.75" thickBot="1" x14ac:dyDescent="0.3">
      <c r="B6" s="17">
        <f>SUM(B5:B5)</f>
        <v>258.11</v>
      </c>
      <c r="C6" s="17">
        <f>SUM(C4:C5)</f>
        <v>1848.66</v>
      </c>
      <c r="D6" s="25">
        <f>SUM(D5:D5)</f>
        <v>9033.85</v>
      </c>
      <c r="E6" s="26">
        <f>SUM(C6:D6)</f>
        <v>10882.51</v>
      </c>
      <c r="F6" s="26">
        <f t="shared" ref="F6" si="0">E6/3</f>
        <v>3627.5033333333336</v>
      </c>
      <c r="G6" s="17">
        <f t="shared" ref="G6" si="1">F6/12</f>
        <v>302.29194444444448</v>
      </c>
    </row>
    <row r="7" spans="1:7" x14ac:dyDescent="0.25">
      <c r="D7" s="9"/>
      <c r="E7" s="12"/>
      <c r="F7" s="9"/>
    </row>
    <row r="8" spans="1:7" x14ac:dyDescent="0.25">
      <c r="A8" s="8" t="s">
        <v>32</v>
      </c>
      <c r="B8" s="18">
        <v>312.77</v>
      </c>
      <c r="C8" s="18">
        <v>1876.62</v>
      </c>
      <c r="D8" s="23">
        <f>B8*35</f>
        <v>10946.949999999999</v>
      </c>
      <c r="E8" s="24">
        <f>SUM(C8:D8)</f>
        <v>12823.57</v>
      </c>
      <c r="F8" s="18">
        <f>E8/3</f>
        <v>4274.5233333333335</v>
      </c>
      <c r="G8" s="18">
        <f>F8/12</f>
        <v>356.21027777777778</v>
      </c>
    </row>
    <row r="9" spans="1:7" x14ac:dyDescent="0.25">
      <c r="B9" s="18"/>
      <c r="C9" s="18"/>
      <c r="D9" s="18"/>
      <c r="E9" s="27"/>
      <c r="F9" s="18"/>
      <c r="G9" s="18"/>
    </row>
    <row r="10" spans="1:7" hidden="1" x14ac:dyDescent="0.25">
      <c r="A10" s="8" t="s">
        <v>12</v>
      </c>
      <c r="B10" s="18">
        <v>321.22000000000003</v>
      </c>
      <c r="C10" s="18">
        <v>1927.32</v>
      </c>
      <c r="D10" s="23">
        <f>B10*35</f>
        <v>11242.7</v>
      </c>
      <c r="E10" s="24">
        <f>SUM(C10:D10)</f>
        <v>13170.02</v>
      </c>
      <c r="F10" s="18">
        <f>E10/3</f>
        <v>4390.0066666666671</v>
      </c>
      <c r="G10" s="18">
        <f>F10/12</f>
        <v>365.83388888888891</v>
      </c>
    </row>
    <row r="11" spans="1:7" hidden="1" x14ac:dyDescent="0.25">
      <c r="B11" s="18"/>
      <c r="C11" s="18"/>
      <c r="D11" s="18"/>
      <c r="E11" s="27"/>
      <c r="F11" s="18"/>
      <c r="G11" s="18"/>
    </row>
    <row r="12" spans="1:7" hidden="1" x14ac:dyDescent="0.25">
      <c r="A12" s="8" t="s">
        <v>21</v>
      </c>
      <c r="B12" s="18">
        <v>327.95</v>
      </c>
      <c r="C12" s="18">
        <v>1967.7</v>
      </c>
      <c r="D12" s="23">
        <f>B12*35</f>
        <v>11478.25</v>
      </c>
      <c r="E12" s="24">
        <f>SUM(C12:D12)</f>
        <v>13445.95</v>
      </c>
      <c r="F12" s="18">
        <f>E12/3</f>
        <v>4481.9833333333336</v>
      </c>
      <c r="G12" s="18">
        <f>F12/12</f>
        <v>373.49861111111113</v>
      </c>
    </row>
    <row r="13" spans="1:7" hidden="1" x14ac:dyDescent="0.25">
      <c r="A13" t="s">
        <v>22</v>
      </c>
      <c r="B13" s="18"/>
      <c r="C13" s="18"/>
      <c r="D13" s="18"/>
      <c r="E13" s="27"/>
      <c r="F13" s="18"/>
      <c r="G13" s="18"/>
    </row>
    <row r="14" spans="1:7" x14ac:dyDescent="0.25">
      <c r="E14" s="30">
        <f>E6-E8</f>
        <v>-1941.0599999999995</v>
      </c>
      <c r="F14" t="s">
        <v>31</v>
      </c>
    </row>
    <row r="16" spans="1:7" x14ac:dyDescent="0.25">
      <c r="A16" s="8" t="s">
        <v>29</v>
      </c>
    </row>
    <row r="17" spans="1:5" x14ac:dyDescent="0.25">
      <c r="B17" s="10" t="s">
        <v>17</v>
      </c>
      <c r="C17" s="22" t="s">
        <v>16</v>
      </c>
    </row>
    <row r="18" spans="1:5" x14ac:dyDescent="0.25">
      <c r="A18" t="s">
        <v>1</v>
      </c>
      <c r="B18" s="2">
        <v>4000</v>
      </c>
      <c r="C18" s="2">
        <f>20200/2</f>
        <v>10100</v>
      </c>
    </row>
    <row r="19" spans="1:5" x14ac:dyDescent="0.25">
      <c r="A19" t="s">
        <v>4</v>
      </c>
      <c r="B19">
        <v>27</v>
      </c>
      <c r="C19">
        <v>38.6</v>
      </c>
    </row>
    <row r="20" spans="1:5" x14ac:dyDescent="0.25">
      <c r="A20" t="s">
        <v>2</v>
      </c>
      <c r="B20" s="1">
        <f>B18/B19</f>
        <v>148.14814814814815</v>
      </c>
      <c r="C20" s="1">
        <f>C18/C19</f>
        <v>261.65803108808291</v>
      </c>
    </row>
    <row r="21" spans="1:5" x14ac:dyDescent="0.25">
      <c r="A21" t="s">
        <v>3</v>
      </c>
      <c r="B21" s="1">
        <f>B20*4.545</f>
        <v>673.33333333333337</v>
      </c>
      <c r="C21" s="1">
        <f>C20*4.545</f>
        <v>1189.2357512953367</v>
      </c>
    </row>
    <row r="22" spans="1:5" ht="15.75" thickBot="1" x14ac:dyDescent="0.3">
      <c r="A22" s="3">
        <v>1.25</v>
      </c>
      <c r="B22" s="4">
        <f>$A22*B21</f>
        <v>841.66666666666674</v>
      </c>
      <c r="C22" s="4">
        <f>$A22*C21</f>
        <v>1486.5446891191709</v>
      </c>
      <c r="D22" s="17">
        <f>SUM(B22:C22)</f>
        <v>2328.2113557858374</v>
      </c>
      <c r="E22" t="s">
        <v>0</v>
      </c>
    </row>
    <row r="23" spans="1:5" x14ac:dyDescent="0.25">
      <c r="A23" t="s">
        <v>15</v>
      </c>
      <c r="B23" s="1">
        <f>100*B22/B18</f>
        <v>21.041666666666668</v>
      </c>
      <c r="C23" s="1">
        <f>100*C22/C18</f>
        <v>14.718264248704664</v>
      </c>
      <c r="D23" s="18"/>
    </row>
    <row r="24" spans="1:5" x14ac:dyDescent="0.25">
      <c r="B24" s="1"/>
      <c r="C24" s="1"/>
      <c r="D24" s="18"/>
    </row>
    <row r="25" spans="1:5" x14ac:dyDescent="0.25">
      <c r="B25" s="1"/>
      <c r="C25" s="1"/>
      <c r="D25" s="18"/>
    </row>
    <row r="26" spans="1:5" x14ac:dyDescent="0.25">
      <c r="A26" s="8" t="s">
        <v>19</v>
      </c>
      <c r="D26" s="18"/>
    </row>
    <row r="27" spans="1:5" x14ac:dyDescent="0.25">
      <c r="B27" s="22" t="s">
        <v>16</v>
      </c>
      <c r="C27" s="10" t="s">
        <v>18</v>
      </c>
      <c r="D27" s="18"/>
    </row>
    <row r="28" spans="1:5" x14ac:dyDescent="0.25">
      <c r="A28" t="s">
        <v>1</v>
      </c>
      <c r="B28" s="2">
        <v>4100</v>
      </c>
      <c r="C28" s="5">
        <v>10000</v>
      </c>
      <c r="D28" s="18"/>
    </row>
    <row r="29" spans="1:5" x14ac:dyDescent="0.25">
      <c r="A29" t="s">
        <v>4</v>
      </c>
      <c r="B29">
        <v>38.6</v>
      </c>
      <c r="C29" t="s">
        <v>5</v>
      </c>
      <c r="D29" s="18"/>
    </row>
    <row r="30" spans="1:5" x14ac:dyDescent="0.25">
      <c r="A30" t="s">
        <v>2</v>
      </c>
      <c r="B30" s="1">
        <f>B28/B29</f>
        <v>106.21761658031087</v>
      </c>
      <c r="C30" t="s">
        <v>14</v>
      </c>
      <c r="D30" s="18"/>
    </row>
    <row r="31" spans="1:5" x14ac:dyDescent="0.25">
      <c r="A31" t="s">
        <v>3</v>
      </c>
      <c r="B31" s="1">
        <f>B30*4.545</f>
        <v>482.75906735751289</v>
      </c>
      <c r="D31" s="18"/>
    </row>
    <row r="32" spans="1:5" ht="15.75" thickBot="1" x14ac:dyDescent="0.3">
      <c r="A32" s="3">
        <v>1.25</v>
      </c>
      <c r="B32" s="4">
        <f>$A32*B31</f>
        <v>603.44883419689108</v>
      </c>
      <c r="C32" s="4">
        <f>C28*0.04</f>
        <v>400</v>
      </c>
      <c r="D32" s="17">
        <f>SUM(B32:C32)</f>
        <v>1003.4488341968911</v>
      </c>
      <c r="E32" t="s">
        <v>0</v>
      </c>
    </row>
    <row r="33" spans="1:10" x14ac:dyDescent="0.25">
      <c r="D33" s="18"/>
    </row>
    <row r="34" spans="1:10" x14ac:dyDescent="0.25">
      <c r="C34" s="6" t="s">
        <v>20</v>
      </c>
      <c r="D34" s="18">
        <v>350</v>
      </c>
    </row>
    <row r="35" spans="1:10" x14ac:dyDescent="0.25">
      <c r="C35" s="13" t="s">
        <v>35</v>
      </c>
      <c r="D35" s="18">
        <v>20</v>
      </c>
    </row>
    <row r="36" spans="1:10" x14ac:dyDescent="0.25">
      <c r="C36" s="13" t="s">
        <v>41</v>
      </c>
      <c r="D36" s="18">
        <v>300</v>
      </c>
    </row>
    <row r="37" spans="1:10" x14ac:dyDescent="0.25">
      <c r="C37" s="13" t="s">
        <v>36</v>
      </c>
      <c r="D37" s="18">
        <v>30</v>
      </c>
    </row>
    <row r="38" spans="1:10" x14ac:dyDescent="0.25">
      <c r="C38" s="13" t="s">
        <v>40</v>
      </c>
      <c r="D38" s="18">
        <v>0</v>
      </c>
    </row>
    <row r="39" spans="1:10" x14ac:dyDescent="0.25">
      <c r="C39" s="13" t="s">
        <v>38</v>
      </c>
      <c r="D39" s="18">
        <v>0</v>
      </c>
    </row>
    <row r="40" spans="1:10" x14ac:dyDescent="0.25">
      <c r="C40" s="13" t="s">
        <v>39</v>
      </c>
      <c r="D40" s="21">
        <v>-150</v>
      </c>
    </row>
    <row r="41" spans="1:10" x14ac:dyDescent="0.25">
      <c r="D41" s="18"/>
      <c r="I41" s="11"/>
    </row>
    <row r="42" spans="1:10" ht="15.75" thickBot="1" x14ac:dyDescent="0.3">
      <c r="C42" s="13" t="s">
        <v>23</v>
      </c>
      <c r="D42" s="19">
        <f>-(SUM(D34:D41)+D22-D32)</f>
        <v>-1874.7625215889464</v>
      </c>
      <c r="E42" s="14" t="s">
        <v>0</v>
      </c>
      <c r="H42" s="9"/>
      <c r="I42" s="9"/>
    </row>
    <row r="43" spans="1:10" x14ac:dyDescent="0.25">
      <c r="D43" s="18"/>
      <c r="F43" s="9" t="s">
        <v>27</v>
      </c>
    </row>
    <row r="44" spans="1:10" x14ac:dyDescent="0.25">
      <c r="A44" s="16">
        <f>F6</f>
        <v>3627.5033333333336</v>
      </c>
      <c r="B44" t="s">
        <v>25</v>
      </c>
      <c r="D44" s="20">
        <f>D42</f>
        <v>-1874.7625215889464</v>
      </c>
      <c r="E44" s="15" t="s">
        <v>24</v>
      </c>
      <c r="F44" s="9">
        <f>A44+D44</f>
        <v>1752.7408117443872</v>
      </c>
      <c r="G44" t="s">
        <v>0</v>
      </c>
      <c r="J44" s="9"/>
    </row>
    <row r="45" spans="1:10" x14ac:dyDescent="0.25">
      <c r="F45" s="9">
        <f>F44/12</f>
        <v>146.06173431203226</v>
      </c>
      <c r="G45" t="s">
        <v>26</v>
      </c>
    </row>
    <row r="46" spans="1:10" x14ac:dyDescent="0.25">
      <c r="F46" s="9"/>
    </row>
    <row r="47" spans="1:10" x14ac:dyDescent="0.25">
      <c r="F47" s="9"/>
    </row>
    <row r="48" spans="1:10" x14ac:dyDescent="0.25">
      <c r="D48" s="6" t="s">
        <v>33</v>
      </c>
      <c r="E48" s="4">
        <v>1700</v>
      </c>
      <c r="F48" s="28">
        <f>-E48/36</f>
        <v>-47.222222222222221</v>
      </c>
      <c r="G48" t="s">
        <v>28</v>
      </c>
    </row>
    <row r="49" spans="2:8" x14ac:dyDescent="0.25">
      <c r="B49" t="s">
        <v>37</v>
      </c>
      <c r="E49" s="4"/>
      <c r="F49" s="9"/>
    </row>
    <row r="50" spans="2:8" ht="15.75" thickBot="1" x14ac:dyDescent="0.3">
      <c r="E50" s="9"/>
      <c r="F50" s="29">
        <f>F45+F48</f>
        <v>98.839512089810029</v>
      </c>
      <c r="G50" t="s">
        <v>10</v>
      </c>
    </row>
    <row r="51" spans="2:8" x14ac:dyDescent="0.25">
      <c r="E51" s="7"/>
    </row>
    <row r="52" spans="2:8" x14ac:dyDescent="0.25">
      <c r="G52" s="6"/>
      <c r="H52" s="9"/>
    </row>
    <row r="53" spans="2:8" x14ac:dyDescent="0.25">
      <c r="G53" s="6"/>
      <c r="H53" s="9"/>
    </row>
    <row r="54" spans="2:8" x14ac:dyDescent="0.25">
      <c r="G54" s="6"/>
      <c r="H54" s="9"/>
    </row>
  </sheetData>
  <pageMargins left="0.7" right="0.7" top="0.75" bottom="0.75" header="0.3" footer="0.3"/>
  <pageSetup paperSize="9" scale="92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Townend</dc:creator>
  <cp:lastModifiedBy>Colin Townend</cp:lastModifiedBy>
  <cp:lastPrinted>2019-11-06T13:59:12Z</cp:lastPrinted>
  <dcterms:created xsi:type="dcterms:W3CDTF">2019-10-05T11:09:26Z</dcterms:created>
  <dcterms:modified xsi:type="dcterms:W3CDTF">2019-11-06T14:01:49Z</dcterms:modified>
</cp:coreProperties>
</file>